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zrz12cfs1\public_domain\MRE\L514\Calculator\V2\Web_release\"/>
    </mc:Choice>
  </mc:AlternateContent>
  <xr:revisionPtr revIDLastSave="0" documentId="13_ncr:1_{03B418EE-1761-43E5-9DAA-637CE8ED6A8C}" xr6:coauthVersionLast="47" xr6:coauthVersionMax="47" xr10:uidLastSave="{00000000-0000-0000-0000-000000000000}"/>
  <bookViews>
    <workbookView xWindow="-120" yWindow="-120" windowWidth="29040" windowHeight="15720" activeTab="1" xr2:uid="{510AE0CC-5FF3-42AF-9ECF-4E483A03C83B}"/>
  </bookViews>
  <sheets>
    <sheet name="Constants" sheetId="2" r:id="rId1"/>
    <sheet name="NCV78514 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E32" i="1"/>
  <c r="F39" i="2"/>
  <c r="F40" i="2"/>
  <c r="F41" i="2"/>
  <c r="F38" i="2"/>
  <c r="D39" i="2"/>
  <c r="D40" i="2"/>
  <c r="D41" i="2"/>
  <c r="D38" i="2"/>
  <c r="F22" i="2"/>
  <c r="F23" i="2"/>
  <c r="E39" i="1" s="1"/>
  <c r="F24" i="2"/>
  <c r="F25" i="2"/>
  <c r="F21" i="2"/>
  <c r="D22" i="2"/>
  <c r="D23" i="2"/>
  <c r="D24" i="2"/>
  <c r="D25" i="2"/>
  <c r="D21" i="2"/>
  <c r="F14" i="2"/>
  <c r="F15" i="2"/>
  <c r="F16" i="2"/>
  <c r="F17" i="2"/>
  <c r="F13" i="2"/>
  <c r="D14" i="2"/>
  <c r="D15" i="2"/>
  <c r="C32" i="1" s="1"/>
  <c r="D16" i="2"/>
  <c r="D17" i="2"/>
  <c r="D13" i="2"/>
  <c r="F20" i="2"/>
  <c r="D20" i="2"/>
  <c r="F12" i="2"/>
  <c r="D12" i="2"/>
  <c r="D32" i="1"/>
  <c r="L50" i="1"/>
  <c r="J50" i="1"/>
  <c r="F29" i="2"/>
  <c r="D29" i="2"/>
  <c r="L54" i="1"/>
  <c r="J54" i="1"/>
  <c r="F37" i="2"/>
  <c r="D37" i="2"/>
  <c r="F34" i="2"/>
  <c r="D34" i="2"/>
  <c r="F33" i="2"/>
  <c r="D33" i="2"/>
  <c r="F32" i="2"/>
  <c r="D32" i="2"/>
  <c r="J24" i="1"/>
  <c r="C13" i="1"/>
  <c r="C51" i="1" s="1"/>
  <c r="J21" i="1"/>
  <c r="J22" i="1" s="1"/>
  <c r="C21" i="1"/>
  <c r="K54" i="1"/>
  <c r="K50" i="1"/>
  <c r="K45" i="1"/>
  <c r="L45" i="1" s="1"/>
  <c r="K41" i="1"/>
  <c r="L41" i="1" s="1"/>
  <c r="C55" i="1" l="1"/>
  <c r="D51" i="1"/>
  <c r="D48" i="1"/>
  <c r="D55" i="1"/>
  <c r="E51" i="1"/>
  <c r="C48" i="1"/>
  <c r="E48" i="1"/>
  <c r="E55" i="1"/>
  <c r="J41" i="1"/>
  <c r="J45" i="1"/>
  <c r="J23" i="1"/>
  <c r="L22" i="1"/>
  <c r="E32" i="2"/>
  <c r="J25" i="1" s="1"/>
  <c r="C14" i="1"/>
  <c r="D39" i="1"/>
  <c r="C22" i="1"/>
  <c r="C23" i="1" l="1"/>
  <c r="L23" i="1"/>
  <c r="L46" i="1"/>
  <c r="L47" i="1" s="1"/>
  <c r="J46" i="1"/>
  <c r="J47" i="1" s="1"/>
  <c r="J26" i="1"/>
  <c r="L34" i="1"/>
  <c r="J34" i="1"/>
  <c r="K46" i="1"/>
  <c r="K47" i="1" s="1"/>
  <c r="K34" i="1"/>
  <c r="J27" i="1"/>
  <c r="E22" i="1"/>
  <c r="E23" i="1" l="1"/>
  <c r="C24" i="1" s="1"/>
  <c r="E44" i="1" s="1"/>
  <c r="L30" i="1"/>
  <c r="J30" i="1"/>
  <c r="L33" i="1"/>
  <c r="L35" i="1" s="1"/>
  <c r="J33" i="1"/>
  <c r="J35" i="1" s="1"/>
  <c r="K33" i="1"/>
  <c r="K35" i="1" s="1"/>
  <c r="J40" i="1"/>
  <c r="L40" i="1"/>
  <c r="K30" i="1"/>
  <c r="K38" i="1"/>
  <c r="K39" i="1"/>
  <c r="K40" i="1"/>
  <c r="C44" i="1" l="1"/>
  <c r="C25" i="1"/>
  <c r="C26" i="1"/>
  <c r="D44" i="1"/>
  <c r="E29" i="1"/>
  <c r="D29" i="1"/>
  <c r="C29" i="1"/>
  <c r="J38" i="1"/>
  <c r="L38" i="1"/>
  <c r="L39" i="1"/>
  <c r="J39" i="1"/>
  <c r="K42" i="1"/>
  <c r="K53" i="1" s="1"/>
  <c r="K55" i="1" s="1"/>
  <c r="J19" i="1" s="1"/>
  <c r="C37" i="1" l="1"/>
  <c r="E30" i="1"/>
  <c r="E33" i="1" s="1"/>
  <c r="C30" i="1"/>
  <c r="D37" i="1"/>
  <c r="E37" i="1"/>
  <c r="D30" i="1"/>
  <c r="C38" i="1"/>
  <c r="C43" i="1"/>
  <c r="C45" i="1" s="1"/>
  <c r="E31" i="1"/>
  <c r="E43" i="1"/>
  <c r="E45" i="1" s="1"/>
  <c r="E36" i="1"/>
  <c r="C36" i="1"/>
  <c r="D38" i="1"/>
  <c r="D36" i="1"/>
  <c r="D43" i="1"/>
  <c r="D45" i="1" s="1"/>
  <c r="E38" i="1"/>
  <c r="C31" i="1"/>
  <c r="C12" i="1"/>
  <c r="D31" i="1"/>
  <c r="J42" i="1"/>
  <c r="J53" i="1" s="1"/>
  <c r="J55" i="1" s="1"/>
  <c r="L42" i="1"/>
  <c r="L53" i="1" s="1"/>
  <c r="L55" i="1" s="1"/>
  <c r="C40" i="1" l="1"/>
  <c r="D33" i="1"/>
  <c r="E40" i="1"/>
  <c r="C33" i="1"/>
  <c r="E54" i="1"/>
  <c r="E56" i="1" s="1"/>
  <c r="D40" i="1"/>
  <c r="D54" i="1" s="1"/>
  <c r="D56" i="1" s="1"/>
  <c r="C19" i="1" s="1"/>
  <c r="C54" i="1" l="1"/>
  <c r="C56" i="1" s="1"/>
</calcChain>
</file>

<file path=xl/sharedStrings.xml><?xml version="1.0" encoding="utf-8"?>
<sst xmlns="http://schemas.openxmlformats.org/spreadsheetml/2006/main" count="257" uniqueCount="121">
  <si>
    <t>Version</t>
  </si>
  <si>
    <t>V</t>
  </si>
  <si>
    <t>Shunt resistor</t>
  </si>
  <si>
    <t>mΩ</t>
  </si>
  <si>
    <t>Note: 100 mΩ is standard and allows reaching 200 mA - 1500 mA output current. Use 200 mΩ to reach lower output currents</t>
  </si>
  <si>
    <t>Application Parameters:</t>
  </si>
  <si>
    <t>Input Voltage</t>
  </si>
  <si>
    <t>Note: 8 V is minimum for start of operation, the voltage may decrease down to 5 V, Below 10 V output current derating is active</t>
  </si>
  <si>
    <t>Output Voltage</t>
  </si>
  <si>
    <t>mA</t>
  </si>
  <si>
    <t>Note: 5 - 60 V</t>
  </si>
  <si>
    <t>Inductor</t>
  </si>
  <si>
    <t>Impedance</t>
  </si>
  <si>
    <t>μH</t>
  </si>
  <si>
    <t>Duty cycle</t>
  </si>
  <si>
    <t>-</t>
  </si>
  <si>
    <t>On phase</t>
  </si>
  <si>
    <t>Off phase</t>
  </si>
  <si>
    <t>s</t>
  </si>
  <si>
    <t>us</t>
  </si>
  <si>
    <t>Ripple Current</t>
  </si>
  <si>
    <t>A</t>
  </si>
  <si>
    <t>Peak Current</t>
  </si>
  <si>
    <t>Valley Current</t>
  </si>
  <si>
    <t>Note: 10 uH is used to reach  20 W at output, use 16 uH when higher output power is needed</t>
  </si>
  <si>
    <t>Integrated Top Switch</t>
  </si>
  <si>
    <t>Integrated bottom switch</t>
  </si>
  <si>
    <t>External Diode</t>
  </si>
  <si>
    <t>External Shunt</t>
  </si>
  <si>
    <t>-40 °C</t>
  </si>
  <si>
    <t>25 °C</t>
  </si>
  <si>
    <t>100 °C</t>
  </si>
  <si>
    <t>INTEGRATED HIGH SIDE SWITCH</t>
  </si>
  <si>
    <t>Ω</t>
  </si>
  <si>
    <t>RON @25 °C</t>
  </si>
  <si>
    <t>Conductive Loss</t>
  </si>
  <si>
    <t>Rising loss</t>
  </si>
  <si>
    <t>Falling loss</t>
  </si>
  <si>
    <t>Capacitive loss</t>
  </si>
  <si>
    <t>HSS1_DRV_Tr1</t>
  </si>
  <si>
    <t>rise time of ON phase</t>
  </si>
  <si>
    <t>HSS1_DRV_Tf1</t>
  </si>
  <si>
    <t>fall time of ON phase</t>
  </si>
  <si>
    <t>HSS1_DRV_V</t>
  </si>
  <si>
    <t>Driver voltage</t>
  </si>
  <si>
    <t>HSS1_Cg</t>
  </si>
  <si>
    <t>Buck hss gate capacitance</t>
  </si>
  <si>
    <t>F</t>
  </si>
  <si>
    <t>HSS1_Cd</t>
  </si>
  <si>
    <t>Buck hss drain capacitance</t>
  </si>
  <si>
    <t>switching frequency</t>
  </si>
  <si>
    <t>Hz</t>
  </si>
  <si>
    <t>W</t>
  </si>
  <si>
    <t>Total</t>
  </si>
  <si>
    <t>LSS1_RDSON</t>
  </si>
  <si>
    <t>Rdson typ at 25</t>
  </si>
  <si>
    <t>INTEGRATED LOW SIDE SWITCH</t>
  </si>
  <si>
    <t>LSS1_DRV_Tr1</t>
  </si>
  <si>
    <t>LSS1_DRV_Tf1</t>
  </si>
  <si>
    <t>LSS1_DRV_V</t>
  </si>
  <si>
    <t>LSS1_Cg</t>
  </si>
  <si>
    <t>LSS1_Cd</t>
  </si>
  <si>
    <t>External diode</t>
  </si>
  <si>
    <t>EXTERNAL DIODE</t>
  </si>
  <si>
    <t>Forward voltage</t>
  </si>
  <si>
    <t>Junction capacitance</t>
  </si>
  <si>
    <t>CJ</t>
  </si>
  <si>
    <t>Vf</t>
  </si>
  <si>
    <t>RSET:</t>
  </si>
  <si>
    <t>inductor value</t>
  </si>
  <si>
    <t>H</t>
  </si>
  <si>
    <t>L1</t>
  </si>
  <si>
    <t>L1_dcr</t>
  </si>
  <si>
    <t>L1_acr</t>
  </si>
  <si>
    <t>AC loss</t>
  </si>
  <si>
    <t>DC loss</t>
  </si>
  <si>
    <t>total</t>
  </si>
  <si>
    <t xml:space="preserve">FIRST RELEASE DATE: </t>
  </si>
  <si>
    <t>Total Loss</t>
  </si>
  <si>
    <t>Output Power</t>
  </si>
  <si>
    <t>Efficiency</t>
  </si>
  <si>
    <t>DC resistance of the inductor</t>
  </si>
  <si>
    <t>AC resistance of the inductor @ 400kHz</t>
  </si>
  <si>
    <t>https://product.tdk.com/en/search/inductor/inductor/smd/info?part_no=SPM7054VC-100M-D</t>
  </si>
  <si>
    <t>INDUCTOR</t>
  </si>
  <si>
    <t>BUCK MODE LOSSES:</t>
  </si>
  <si>
    <t>BOOST MODE LOSSES:</t>
  </si>
  <si>
    <t>Average Inductor current</t>
  </si>
  <si>
    <t>Efficiency estimate:</t>
  </si>
  <si>
    <t>EXTERNAL SWITCH</t>
  </si>
  <si>
    <t>Ron</t>
  </si>
  <si>
    <t>NCV78514 - Power Loss and Efficiency Calculator</t>
  </si>
  <si>
    <t>Time for Gate transition low to High</t>
  </si>
  <si>
    <t>Time for Gate transition High to Low</t>
  </si>
  <si>
    <t>TSLH</t>
  </si>
  <si>
    <t>TSHL</t>
  </si>
  <si>
    <t>External Bottom Switch</t>
  </si>
  <si>
    <t>Conductive loss</t>
  </si>
  <si>
    <t>Total Gate charge</t>
  </si>
  <si>
    <t>C</t>
  </si>
  <si>
    <t>QGTot</t>
  </si>
  <si>
    <t>Coss</t>
  </si>
  <si>
    <t>output capacitance</t>
  </si>
  <si>
    <t>Switching loss</t>
  </si>
  <si>
    <t xml:space="preserve">Note: To get accurate calculation, the efficiency needs to be used. Start by putting 0.85 into the yellow cell. Calculator will calculate efficiency based on the estimate. The new calculation will be more accurate. To improve the calculation, put the gray calculated efficiency into the yellow estimate cell. </t>
  </si>
  <si>
    <t>Switching frequency</t>
  </si>
  <si>
    <t>Target Ouput current</t>
  </si>
  <si>
    <t>Output Current after VBAT derating</t>
  </si>
  <si>
    <t>Note: When VBAT falls below 9V the output current is automatically derated accordingly to (VBAT+1)/10 if VBAT &lt; 9 V</t>
  </si>
  <si>
    <t>Note: RSET resistor calculated value according to target output current and sensing shunt.</t>
  </si>
  <si>
    <t>Parameter</t>
  </si>
  <si>
    <t>Note</t>
  </si>
  <si>
    <t>Unit</t>
  </si>
  <si>
    <t>Value @ -40 °C</t>
  </si>
  <si>
    <t>Value @ 25 °C</t>
  </si>
  <si>
    <t>Value @ 100 °C</t>
  </si>
  <si>
    <t>IPEAK Check</t>
  </si>
  <si>
    <t>Note: The input current is limited to 4.5 A to protect input circuitry and wires. The average output current will be derated, when this check fails.</t>
  </si>
  <si>
    <t xml:space="preserve">Calculated efficiency: </t>
  </si>
  <si>
    <t>Note: Calculated value for RSET based on target output current and shunt resistor value. RSET value must be higher than 400 and lower than 15000</t>
  </si>
  <si>
    <t>Initial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</si>
</sst>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3" x14ac:knownFonts="1">
    <font>
      <sz val="10"/>
      <color theme="1"/>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FF000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40">
    <xf numFmtId="0" fontId="0" fillId="0" borderId="0" xfId="0"/>
    <xf numFmtId="0" fontId="1" fillId="0" borderId="0" xfId="0" applyFont="1" applyAlignment="1">
      <alignment horizontal="left" vertical="center"/>
    </xf>
    <xf numFmtId="0" fontId="0" fillId="0" borderId="0" xfId="0" applyAlignment="1">
      <alignment horizontal="center" vertical="center"/>
    </xf>
    <xf numFmtId="0" fontId="0" fillId="2" borderId="0" xfId="0" applyFill="1"/>
    <xf numFmtId="165" fontId="0" fillId="3" borderId="0" xfId="0" applyNumberFormat="1" applyFill="1"/>
    <xf numFmtId="164" fontId="0" fillId="3" borderId="0" xfId="0" applyNumberFormat="1" applyFill="1"/>
    <xf numFmtId="0" fontId="0" fillId="0" borderId="1" xfId="0" applyBorder="1"/>
    <xf numFmtId="0" fontId="0" fillId="0" borderId="2" xfId="0" applyBorder="1"/>
    <xf numFmtId="0" fontId="0" fillId="0" borderId="3" xfId="0" applyBorder="1"/>
    <xf numFmtId="0" fontId="0" fillId="0" borderId="4" xfId="0" applyBorder="1"/>
    <xf numFmtId="0" fontId="0" fillId="2" borderId="0" xfId="0" applyFill="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3" borderId="0" xfId="0" applyFill="1"/>
    <xf numFmtId="0" fontId="0" fillId="2" borderId="7" xfId="0" applyFill="1" applyBorder="1" applyAlignment="1">
      <alignment horizontal="center"/>
    </xf>
    <xf numFmtId="11" fontId="0" fillId="3" borderId="0" xfId="0" applyNumberFormat="1" applyFill="1"/>
    <xf numFmtId="2" fontId="0" fillId="3" borderId="0" xfId="0" applyNumberFormat="1" applyFill="1"/>
    <xf numFmtId="0" fontId="0" fillId="0" borderId="2" xfId="0" quotePrefix="1" applyBorder="1"/>
    <xf numFmtId="2" fontId="0" fillId="3" borderId="7" xfId="0" applyNumberFormat="1" applyFill="1" applyBorder="1"/>
    <xf numFmtId="0" fontId="0" fillId="0" borderId="5" xfId="0" applyBorder="1" applyAlignment="1">
      <alignment horizontal="center" vertical="center"/>
    </xf>
    <xf numFmtId="0" fontId="0" fillId="0" borderId="0" xfId="0" applyAlignment="1">
      <alignment horizontal="left" vertical="center"/>
    </xf>
    <xf numFmtId="0" fontId="0" fillId="0" borderId="5" xfId="0" applyBorder="1" applyAlignment="1">
      <alignment horizontal="center"/>
    </xf>
    <xf numFmtId="0" fontId="0" fillId="0" borderId="7" xfId="0" applyBorder="1" applyAlignment="1">
      <alignment horizontal="left" vertical="center"/>
    </xf>
    <xf numFmtId="0" fontId="0" fillId="0" borderId="8" xfId="0" applyBorder="1" applyAlignment="1">
      <alignment horizont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2" fillId="0" borderId="2" xfId="1" applyBorder="1"/>
    <xf numFmtId="11" fontId="0" fillId="0" borderId="7" xfId="0" applyNumberFormat="1" applyBorder="1"/>
    <xf numFmtId="0" fontId="0" fillId="0" borderId="2" xfId="0" applyBorder="1" applyAlignment="1">
      <alignment horizontal="center" vertical="center"/>
    </xf>
    <xf numFmtId="164" fontId="0" fillId="3" borderId="7" xfId="0" applyNumberFormat="1" applyFill="1" applyBorder="1"/>
    <xf numFmtId="2" fontId="0" fillId="3" borderId="2" xfId="0" applyNumberFormat="1" applyFill="1" applyBorder="1"/>
    <xf numFmtId="1" fontId="0" fillId="4" borderId="0" xfId="0" applyNumberFormat="1" applyFill="1"/>
    <xf numFmtId="0" fontId="0" fillId="0" borderId="0" xfId="0" applyAlignment="1">
      <alignment horizontal="center" vertical="center" wrapText="1"/>
    </xf>
    <xf numFmtId="15" fontId="0" fillId="0" borderId="0" xfId="0" applyNumberFormat="1" applyAlignment="1">
      <alignment horizontal="right"/>
    </xf>
  </cellXfs>
  <cellStyles count="2">
    <cellStyle name="Hyperlink" xfId="1" builtinId="8"/>
    <cellStyle name="Normal" xfId="0" builtinId="0"/>
  </cellStyles>
  <dxfs count="4">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428625</xdr:colOff>
      <xdr:row>2</xdr:row>
      <xdr:rowOff>9525</xdr:rowOff>
    </xdr:from>
    <xdr:to>
      <xdr:col>5</xdr:col>
      <xdr:colOff>60512</xdr:colOff>
      <xdr:row>3</xdr:row>
      <xdr:rowOff>180414</xdr:rowOff>
    </xdr:to>
    <xdr:pic>
      <xdr:nvPicPr>
        <xdr:cNvPr id="2" name="Picture 1">
          <a:extLst>
            <a:ext uri="{FF2B5EF4-FFF2-40B4-BE49-F238E27FC236}">
              <a16:creationId xmlns:a16="http://schemas.microsoft.com/office/drawing/2014/main" id="{FAEACDEA-344A-438E-A0C8-F42D65B3D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390525"/>
          <a:ext cx="1460687" cy="36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roduct.tdk.com/en/search/inductor/inductor/smd/info?part_no=SPM7054VC-100M-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03FE3-FE43-40ED-A8B1-6B0075871196}">
  <dimension ref="B7:H41"/>
  <sheetViews>
    <sheetView topLeftCell="A4" workbookViewId="0">
      <selection activeCell="K31" sqref="K31"/>
    </sheetView>
  </sheetViews>
  <sheetFormatPr defaultRowHeight="12.75" x14ac:dyDescent="0.2"/>
  <cols>
    <col min="2" max="2" width="18" customWidth="1"/>
    <col min="3" max="3" width="17.7109375" customWidth="1"/>
    <col min="4" max="4" width="14" bestFit="1" customWidth="1"/>
    <col min="5" max="5" width="13.42578125" style="2" bestFit="1" customWidth="1"/>
    <col min="6" max="6" width="14.42578125" bestFit="1" customWidth="1"/>
    <col min="7" max="7" width="35.140625" bestFit="1" customWidth="1"/>
  </cols>
  <sheetData>
    <row r="7" spans="2:8" ht="13.5" thickBot="1" x14ac:dyDescent="0.25"/>
    <row r="8" spans="2:8" ht="13.5" thickBot="1" x14ac:dyDescent="0.25">
      <c r="B8" s="15" t="s">
        <v>110</v>
      </c>
      <c r="C8" s="16"/>
      <c r="D8" s="16" t="s">
        <v>113</v>
      </c>
      <c r="E8" s="16" t="s">
        <v>114</v>
      </c>
      <c r="F8" s="16" t="s">
        <v>115</v>
      </c>
      <c r="G8" s="16" t="s">
        <v>111</v>
      </c>
      <c r="H8" s="17" t="s">
        <v>112</v>
      </c>
    </row>
    <row r="9" spans="2:8" ht="13.5" thickBot="1" x14ac:dyDescent="0.25">
      <c r="B9" s="15"/>
      <c r="C9" s="16" t="s">
        <v>105</v>
      </c>
      <c r="D9" s="16">
        <v>400000</v>
      </c>
      <c r="E9" s="16">
        <v>400000</v>
      </c>
      <c r="F9" s="16">
        <v>400000</v>
      </c>
      <c r="G9" s="16" t="s">
        <v>50</v>
      </c>
      <c r="H9" s="29" t="s">
        <v>51</v>
      </c>
    </row>
    <row r="10" spans="2:8" ht="13.5" thickBot="1" x14ac:dyDescent="0.25">
      <c r="B10" s="9"/>
      <c r="E10"/>
      <c r="G10" s="2"/>
      <c r="H10" s="11"/>
    </row>
    <row r="11" spans="2:8" x14ac:dyDescent="0.2">
      <c r="B11" s="6" t="s">
        <v>32</v>
      </c>
      <c r="C11" s="7"/>
      <c r="D11" s="7"/>
      <c r="E11" s="7"/>
      <c r="F11" s="7"/>
      <c r="G11" s="7"/>
      <c r="H11" s="30"/>
    </row>
    <row r="12" spans="2:8" x14ac:dyDescent="0.2">
      <c r="B12" s="9"/>
      <c r="C12" t="s">
        <v>34</v>
      </c>
      <c r="D12">
        <f>E12*0.08</f>
        <v>6.0000000000000001E-3</v>
      </c>
      <c r="E12">
        <v>7.4999999999999997E-2</v>
      </c>
      <c r="F12">
        <f>E12*1.5</f>
        <v>0.11249999999999999</v>
      </c>
      <c r="G12" t="s">
        <v>55</v>
      </c>
      <c r="H12" s="24" t="s">
        <v>33</v>
      </c>
    </row>
    <row r="13" spans="2:8" x14ac:dyDescent="0.2">
      <c r="B13" s="9"/>
      <c r="C13" t="s">
        <v>39</v>
      </c>
      <c r="D13">
        <f>E13</f>
        <v>2E-8</v>
      </c>
      <c r="E13">
        <v>2E-8</v>
      </c>
      <c r="F13">
        <f>E13</f>
        <v>2E-8</v>
      </c>
      <c r="G13" t="s">
        <v>40</v>
      </c>
      <c r="H13" s="24" t="s">
        <v>18</v>
      </c>
    </row>
    <row r="14" spans="2:8" x14ac:dyDescent="0.2">
      <c r="B14" s="9"/>
      <c r="C14" t="s">
        <v>41</v>
      </c>
      <c r="D14">
        <f t="shared" ref="D14:D17" si="0">E14</f>
        <v>2E-8</v>
      </c>
      <c r="E14">
        <v>2E-8</v>
      </c>
      <c r="F14">
        <f t="shared" ref="F14:F17" si="1">E14</f>
        <v>2E-8</v>
      </c>
      <c r="G14" t="s">
        <v>42</v>
      </c>
      <c r="H14" s="24" t="s">
        <v>18</v>
      </c>
    </row>
    <row r="15" spans="2:8" x14ac:dyDescent="0.2">
      <c r="B15" s="9"/>
      <c r="C15" t="s">
        <v>43</v>
      </c>
      <c r="D15">
        <f t="shared" si="0"/>
        <v>3.3</v>
      </c>
      <c r="E15">
        <v>3.3</v>
      </c>
      <c r="F15">
        <f t="shared" si="1"/>
        <v>3.3</v>
      </c>
      <c r="G15" t="s">
        <v>44</v>
      </c>
      <c r="H15" s="24" t="s">
        <v>1</v>
      </c>
    </row>
    <row r="16" spans="2:8" x14ac:dyDescent="0.2">
      <c r="B16" s="9"/>
      <c r="C16" t="s">
        <v>45</v>
      </c>
      <c r="D16">
        <f t="shared" si="0"/>
        <v>2.667E-9</v>
      </c>
      <c r="E16">
        <v>2.667E-9</v>
      </c>
      <c r="F16">
        <f t="shared" si="1"/>
        <v>2.667E-9</v>
      </c>
      <c r="G16" t="s">
        <v>46</v>
      </c>
      <c r="H16" s="24" t="s">
        <v>47</v>
      </c>
    </row>
    <row r="17" spans="2:8" ht="13.5" thickBot="1" x14ac:dyDescent="0.25">
      <c r="B17" s="12"/>
      <c r="C17" s="13" t="s">
        <v>48</v>
      </c>
      <c r="D17" s="13">
        <f t="shared" si="0"/>
        <v>3.9999999999999996E-10</v>
      </c>
      <c r="E17" s="13">
        <v>3.9999999999999996E-10</v>
      </c>
      <c r="F17" s="13">
        <f t="shared" si="1"/>
        <v>3.9999999999999996E-10</v>
      </c>
      <c r="G17" s="13" t="s">
        <v>49</v>
      </c>
      <c r="H17" s="31" t="s">
        <v>47</v>
      </c>
    </row>
    <row r="18" spans="2:8" ht="13.5" thickBot="1" x14ac:dyDescent="0.25">
      <c r="B18" s="9"/>
      <c r="E18"/>
      <c r="H18" s="24"/>
    </row>
    <row r="19" spans="2:8" x14ac:dyDescent="0.2">
      <c r="B19" s="6" t="s">
        <v>56</v>
      </c>
      <c r="C19" s="7"/>
      <c r="D19" s="7"/>
      <c r="E19" s="7"/>
      <c r="F19" s="7"/>
      <c r="G19" s="7"/>
      <c r="H19" s="30"/>
    </row>
    <row r="20" spans="2:8" x14ac:dyDescent="0.2">
      <c r="B20" s="9"/>
      <c r="C20" t="s">
        <v>54</v>
      </c>
      <c r="D20">
        <f>E20*0.08</f>
        <v>2.0800000000000003E-2</v>
      </c>
      <c r="E20">
        <v>0.26</v>
      </c>
      <c r="F20">
        <f>E20*1.5</f>
        <v>0.39</v>
      </c>
      <c r="G20" t="s">
        <v>55</v>
      </c>
      <c r="H20" s="24" t="s">
        <v>33</v>
      </c>
    </row>
    <row r="21" spans="2:8" x14ac:dyDescent="0.2">
      <c r="B21" s="9"/>
      <c r="C21" t="s">
        <v>57</v>
      </c>
      <c r="D21">
        <f>E21</f>
        <v>1E-8</v>
      </c>
      <c r="E21">
        <v>1E-8</v>
      </c>
      <c r="F21">
        <f>E21</f>
        <v>1E-8</v>
      </c>
      <c r="G21" t="s">
        <v>40</v>
      </c>
      <c r="H21" s="24" t="s">
        <v>18</v>
      </c>
    </row>
    <row r="22" spans="2:8" x14ac:dyDescent="0.2">
      <c r="B22" s="9"/>
      <c r="C22" t="s">
        <v>58</v>
      </c>
      <c r="D22">
        <f t="shared" ref="D22:D25" si="2">E22</f>
        <v>1E-8</v>
      </c>
      <c r="E22">
        <v>1E-8</v>
      </c>
      <c r="F22">
        <f t="shared" ref="F22:F25" si="3">E22</f>
        <v>1E-8</v>
      </c>
      <c r="G22" t="s">
        <v>42</v>
      </c>
      <c r="H22" s="24" t="s">
        <v>18</v>
      </c>
    </row>
    <row r="23" spans="2:8" x14ac:dyDescent="0.2">
      <c r="B23" s="9"/>
      <c r="C23" t="s">
        <v>59</v>
      </c>
      <c r="D23">
        <f t="shared" si="2"/>
        <v>5</v>
      </c>
      <c r="E23">
        <v>5</v>
      </c>
      <c r="F23">
        <f t="shared" si="3"/>
        <v>5</v>
      </c>
      <c r="G23" t="s">
        <v>44</v>
      </c>
      <c r="H23" s="24" t="s">
        <v>1</v>
      </c>
    </row>
    <row r="24" spans="2:8" x14ac:dyDescent="0.2">
      <c r="B24" s="9"/>
      <c r="C24" t="s">
        <v>60</v>
      </c>
      <c r="D24">
        <f t="shared" si="2"/>
        <v>5.8500000000000005E-10</v>
      </c>
      <c r="E24">
        <v>5.8500000000000005E-10</v>
      </c>
      <c r="F24">
        <f t="shared" si="3"/>
        <v>5.8500000000000005E-10</v>
      </c>
      <c r="G24" t="s">
        <v>46</v>
      </c>
      <c r="H24" s="24" t="s">
        <v>47</v>
      </c>
    </row>
    <row r="25" spans="2:8" ht="13.5" thickBot="1" x14ac:dyDescent="0.25">
      <c r="B25" s="12"/>
      <c r="C25" s="13" t="s">
        <v>61</v>
      </c>
      <c r="D25" s="13">
        <f t="shared" si="2"/>
        <v>7.9999999999999995E-11</v>
      </c>
      <c r="E25" s="13">
        <v>7.9999999999999995E-11</v>
      </c>
      <c r="F25" s="13">
        <f t="shared" si="3"/>
        <v>7.9999999999999995E-11</v>
      </c>
      <c r="G25" s="13" t="s">
        <v>49</v>
      </c>
      <c r="H25" s="31" t="s">
        <v>47</v>
      </c>
    </row>
    <row r="26" spans="2:8" ht="13.5" thickBot="1" x14ac:dyDescent="0.25">
      <c r="B26" s="9"/>
      <c r="E26"/>
      <c r="H26" s="24"/>
    </row>
    <row r="27" spans="2:8" x14ac:dyDescent="0.2">
      <c r="B27" s="6" t="s">
        <v>63</v>
      </c>
      <c r="C27" s="7"/>
      <c r="D27" s="7"/>
      <c r="E27" s="7"/>
      <c r="F27" s="7"/>
      <c r="G27" s="7"/>
      <c r="H27" s="30"/>
    </row>
    <row r="28" spans="2:8" x14ac:dyDescent="0.2">
      <c r="B28" s="9"/>
      <c r="C28" t="s">
        <v>67</v>
      </c>
      <c r="D28">
        <v>0.61</v>
      </c>
      <c r="E28">
        <v>0.6</v>
      </c>
      <c r="F28">
        <v>0.56000000000000005</v>
      </c>
      <c r="G28" t="s">
        <v>64</v>
      </c>
      <c r="H28" s="24" t="s">
        <v>1</v>
      </c>
    </row>
    <row r="29" spans="2:8" ht="13.5" thickBot="1" x14ac:dyDescent="0.25">
      <c r="B29" s="12"/>
      <c r="C29" s="13" t="s">
        <v>66</v>
      </c>
      <c r="D29" s="13">
        <f>E29</f>
        <v>4.3000000000000001E-10</v>
      </c>
      <c r="E29" s="13">
        <v>4.3000000000000001E-10</v>
      </c>
      <c r="F29" s="13">
        <f>E29</f>
        <v>4.3000000000000001E-10</v>
      </c>
      <c r="G29" s="13" t="s">
        <v>65</v>
      </c>
      <c r="H29" s="31" t="s">
        <v>47</v>
      </c>
    </row>
    <row r="30" spans="2:8" ht="13.5" thickBot="1" x14ac:dyDescent="0.25">
      <c r="B30" s="9"/>
      <c r="E30"/>
      <c r="H30" s="24"/>
    </row>
    <row r="31" spans="2:8" x14ac:dyDescent="0.2">
      <c r="B31" s="6" t="s">
        <v>84</v>
      </c>
      <c r="C31" s="32" t="s">
        <v>83</v>
      </c>
      <c r="D31" s="7"/>
      <c r="E31" s="7"/>
      <c r="F31" s="7"/>
      <c r="G31" s="7"/>
      <c r="H31" s="30"/>
    </row>
    <row r="32" spans="2:8" x14ac:dyDescent="0.2">
      <c r="B32" s="9"/>
      <c r="C32" t="s">
        <v>71</v>
      </c>
      <c r="D32">
        <f>E32*0.97</f>
        <v>9.7000000000000003E-6</v>
      </c>
      <c r="E32">
        <f>'NCV78514 calculator'!C15/1000000</f>
        <v>1.0000000000000001E-5</v>
      </c>
      <c r="F32">
        <f>E32*1</f>
        <v>1.0000000000000001E-5</v>
      </c>
      <c r="G32" t="s">
        <v>69</v>
      </c>
      <c r="H32" s="24" t="s">
        <v>70</v>
      </c>
    </row>
    <row r="33" spans="2:8" x14ac:dyDescent="0.2">
      <c r="B33" s="9"/>
      <c r="C33" t="s">
        <v>72</v>
      </c>
      <c r="D33">
        <f>E33*1</f>
        <v>3.0499999999999999E-2</v>
      </c>
      <c r="E33">
        <v>3.0499999999999999E-2</v>
      </c>
      <c r="F33">
        <f>E33*1</f>
        <v>3.0499999999999999E-2</v>
      </c>
      <c r="G33" t="s">
        <v>81</v>
      </c>
      <c r="H33" s="24" t="s">
        <v>33</v>
      </c>
    </row>
    <row r="34" spans="2:8" ht="13.5" thickBot="1" x14ac:dyDescent="0.25">
      <c r="B34" s="12"/>
      <c r="C34" s="13" t="s">
        <v>73</v>
      </c>
      <c r="D34" s="33">
        <f>E34*1</f>
        <v>0.35399999999999998</v>
      </c>
      <c r="E34" s="33">
        <v>0.35399999999999998</v>
      </c>
      <c r="F34" s="33">
        <f>E34*1</f>
        <v>0.35399999999999998</v>
      </c>
      <c r="G34" s="13" t="s">
        <v>82</v>
      </c>
      <c r="H34" s="31" t="s">
        <v>33</v>
      </c>
    </row>
    <row r="35" spans="2:8" ht="13.5" thickBot="1" x14ac:dyDescent="0.25">
      <c r="B35" s="9"/>
      <c r="E35"/>
      <c r="G35" s="2"/>
      <c r="H35" s="11"/>
    </row>
    <row r="36" spans="2:8" x14ac:dyDescent="0.2">
      <c r="B36" s="6" t="s">
        <v>89</v>
      </c>
      <c r="C36" s="7"/>
      <c r="D36" s="7"/>
      <c r="E36" s="7"/>
      <c r="F36" s="7"/>
      <c r="G36" s="34"/>
      <c r="H36" s="8"/>
    </row>
    <row r="37" spans="2:8" x14ac:dyDescent="0.2">
      <c r="B37" s="9"/>
      <c r="C37" t="s">
        <v>90</v>
      </c>
      <c r="D37">
        <f>E37*0.08</f>
        <v>2.3999999999999998E-3</v>
      </c>
      <c r="E37">
        <v>0.03</v>
      </c>
      <c r="F37">
        <f>E37*1.5</f>
        <v>4.4999999999999998E-2</v>
      </c>
      <c r="G37" s="25" t="s">
        <v>55</v>
      </c>
      <c r="H37" s="26" t="s">
        <v>33</v>
      </c>
    </row>
    <row r="38" spans="2:8" x14ac:dyDescent="0.2">
      <c r="B38" s="9"/>
      <c r="C38" t="s">
        <v>94</v>
      </c>
      <c r="D38">
        <f>E38</f>
        <v>2.166E-8</v>
      </c>
      <c r="E38">
        <v>2.166E-8</v>
      </c>
      <c r="F38">
        <f>E38</f>
        <v>2.166E-8</v>
      </c>
      <c r="G38" s="25" t="s">
        <v>92</v>
      </c>
      <c r="H38" s="26" t="s">
        <v>18</v>
      </c>
    </row>
    <row r="39" spans="2:8" x14ac:dyDescent="0.2">
      <c r="B39" s="9"/>
      <c r="C39" t="s">
        <v>95</v>
      </c>
      <c r="D39">
        <f t="shared" ref="D39:D41" si="4">E39</f>
        <v>1.4440000000000001E-8</v>
      </c>
      <c r="E39">
        <v>1.4440000000000001E-8</v>
      </c>
      <c r="F39">
        <f t="shared" ref="F39:F41" si="5">E39</f>
        <v>1.4440000000000001E-8</v>
      </c>
      <c r="G39" s="25" t="s">
        <v>93</v>
      </c>
      <c r="H39" s="26" t="s">
        <v>18</v>
      </c>
    </row>
    <row r="40" spans="2:8" x14ac:dyDescent="0.2">
      <c r="B40" s="9"/>
      <c r="C40" t="s">
        <v>100</v>
      </c>
      <c r="D40">
        <f t="shared" si="4"/>
        <v>2.8999999999999999E-9</v>
      </c>
      <c r="E40">
        <v>2.8999999999999999E-9</v>
      </c>
      <c r="F40">
        <f t="shared" si="5"/>
        <v>2.8999999999999999E-9</v>
      </c>
      <c r="G40" s="25" t="s">
        <v>98</v>
      </c>
      <c r="H40" s="26" t="s">
        <v>99</v>
      </c>
    </row>
    <row r="41" spans="2:8" ht="13.5" thickBot="1" x14ac:dyDescent="0.25">
      <c r="B41" s="12"/>
      <c r="C41" s="13" t="s">
        <v>101</v>
      </c>
      <c r="D41" s="13">
        <f t="shared" si="4"/>
        <v>1.6100000000000001E-10</v>
      </c>
      <c r="E41" s="13">
        <v>1.6100000000000001E-10</v>
      </c>
      <c r="F41" s="13">
        <f t="shared" si="5"/>
        <v>1.6100000000000001E-10</v>
      </c>
      <c r="G41" s="27" t="s">
        <v>102</v>
      </c>
      <c r="H41" s="28" t="s">
        <v>47</v>
      </c>
    </row>
  </sheetData>
  <hyperlinks>
    <hyperlink ref="C31" r:id="rId1" xr:uid="{EE528DB3-CDE0-431B-8288-D1A6E9854F2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39D4-46D1-46E2-9AA6-816E4B2791EC}">
  <dimension ref="A1:O56"/>
  <sheetViews>
    <sheetView tabSelected="1" workbookViewId="0">
      <selection activeCell="A4" sqref="A4"/>
    </sheetView>
  </sheetViews>
  <sheetFormatPr defaultRowHeight="15" customHeight="1" x14ac:dyDescent="0.2"/>
  <cols>
    <col min="1" max="1" width="18.140625" customWidth="1"/>
    <col min="2" max="2" width="34.5703125" customWidth="1"/>
    <col min="3" max="4" width="9.140625" customWidth="1"/>
    <col min="9" max="9" width="27.42578125" customWidth="1"/>
    <col min="10" max="10" width="9.140625" customWidth="1"/>
    <col min="12" max="12" width="9.140625" customWidth="1"/>
    <col min="14" max="14" width="9.140625" customWidth="1"/>
  </cols>
  <sheetData>
    <row r="1" spans="1:15" ht="15" customHeight="1" x14ac:dyDescent="0.2">
      <c r="A1" t="s">
        <v>91</v>
      </c>
    </row>
    <row r="3" spans="1:15" ht="15" customHeight="1" x14ac:dyDescent="0.2">
      <c r="A3" t="s">
        <v>0</v>
      </c>
      <c r="B3" t="s">
        <v>120</v>
      </c>
    </row>
    <row r="4" spans="1:15" ht="15" customHeight="1" x14ac:dyDescent="0.2">
      <c r="A4" s="1" t="s">
        <v>77</v>
      </c>
      <c r="B4" s="39">
        <v>46038</v>
      </c>
    </row>
    <row r="5" spans="1:15" ht="15" customHeight="1" x14ac:dyDescent="0.2">
      <c r="A5" s="1"/>
    </row>
    <row r="6" spans="1:15" ht="15" customHeight="1" thickBot="1" x14ac:dyDescent="0.25"/>
    <row r="7" spans="1:15" ht="15" customHeight="1" thickBot="1" x14ac:dyDescent="0.25">
      <c r="B7" s="15" t="s">
        <v>5</v>
      </c>
      <c r="C7" s="16"/>
      <c r="D7" s="16"/>
      <c r="E7" s="16"/>
      <c r="F7" s="16"/>
      <c r="G7" s="16"/>
      <c r="H7" s="16"/>
      <c r="I7" s="16"/>
      <c r="J7" s="16"/>
      <c r="K7" s="16"/>
      <c r="L7" s="16"/>
      <c r="M7" s="16"/>
      <c r="N7" s="16"/>
      <c r="O7" s="17"/>
    </row>
    <row r="8" spans="1:15" ht="15" customHeight="1" x14ac:dyDescent="0.2">
      <c r="B8" s="9" t="s">
        <v>2</v>
      </c>
      <c r="C8" s="10">
        <v>100</v>
      </c>
      <c r="D8" t="s">
        <v>3</v>
      </c>
      <c r="E8" t="s">
        <v>4</v>
      </c>
      <c r="O8" s="11"/>
    </row>
    <row r="9" spans="1:15" ht="15" customHeight="1" x14ac:dyDescent="0.2">
      <c r="B9" s="9" t="s">
        <v>6</v>
      </c>
      <c r="C9" s="10">
        <v>12</v>
      </c>
      <c r="D9" t="s">
        <v>1</v>
      </c>
      <c r="E9" t="s">
        <v>7</v>
      </c>
      <c r="O9" s="11"/>
    </row>
    <row r="10" spans="1:15" ht="15" customHeight="1" x14ac:dyDescent="0.2">
      <c r="B10" s="9" t="s">
        <v>8</v>
      </c>
      <c r="C10" s="10">
        <v>20</v>
      </c>
      <c r="D10" t="s">
        <v>1</v>
      </c>
      <c r="E10" t="s">
        <v>10</v>
      </c>
      <c r="O10" s="11"/>
    </row>
    <row r="11" spans="1:15" ht="15" customHeight="1" x14ac:dyDescent="0.2">
      <c r="B11" s="9" t="s">
        <v>106</v>
      </c>
      <c r="C11" s="10">
        <v>500</v>
      </c>
      <c r="D11" t="s">
        <v>9</v>
      </c>
      <c r="E11" t="s">
        <v>109</v>
      </c>
      <c r="O11" s="11"/>
    </row>
    <row r="12" spans="1:15" ht="15" customHeight="1" x14ac:dyDescent="0.2">
      <c r="B12" s="9" t="s">
        <v>116</v>
      </c>
      <c r="C12" s="18">
        <f>IF(OR(IFERROR(VALUE(C25)&gt;4.5,FALSE),IFERROR(VALUE(J26)&gt;4.5,FALSE)),0,1)</f>
        <v>1</v>
      </c>
      <c r="E12" t="s">
        <v>117</v>
      </c>
      <c r="O12" s="11"/>
    </row>
    <row r="13" spans="1:15" ht="15" customHeight="1" x14ac:dyDescent="0.2">
      <c r="B13" s="9" t="s">
        <v>107</v>
      </c>
      <c r="C13" s="18">
        <f>IF(C9&lt;9,C11*((C9+1)/10),C11)</f>
        <v>500</v>
      </c>
      <c r="D13" t="s">
        <v>9</v>
      </c>
      <c r="E13" t="s">
        <v>108</v>
      </c>
      <c r="O13" s="11"/>
    </row>
    <row r="14" spans="1:15" ht="15" customHeight="1" x14ac:dyDescent="0.2">
      <c r="B14" s="9" t="s">
        <v>68</v>
      </c>
      <c r="C14" s="37">
        <f>-((10000)/(1-(100*C11/1000*C8/1000)))</f>
        <v>2500</v>
      </c>
      <c r="D14" t="s">
        <v>33</v>
      </c>
      <c r="E14" t="s">
        <v>119</v>
      </c>
      <c r="O14" s="11"/>
    </row>
    <row r="15" spans="1:15" ht="15" customHeight="1" thickBot="1" x14ac:dyDescent="0.25">
      <c r="B15" s="12" t="s">
        <v>12</v>
      </c>
      <c r="C15" s="19">
        <v>10</v>
      </c>
      <c r="D15" s="13" t="s">
        <v>13</v>
      </c>
      <c r="E15" s="13" t="s">
        <v>24</v>
      </c>
      <c r="F15" s="13"/>
      <c r="G15" s="13"/>
      <c r="H15" s="13"/>
      <c r="I15" s="13"/>
      <c r="J15" s="13"/>
      <c r="K15" s="13"/>
      <c r="L15" s="13"/>
      <c r="M15" s="13"/>
      <c r="N15" s="13"/>
      <c r="O15" s="14"/>
    </row>
    <row r="17" spans="2:13" ht="74.25" customHeight="1" x14ac:dyDescent="0.2">
      <c r="I17" s="38" t="s">
        <v>104</v>
      </c>
      <c r="J17" s="38"/>
      <c r="K17" s="38"/>
      <c r="L17" s="38"/>
      <c r="M17" s="38"/>
    </row>
    <row r="18" spans="2:13" ht="15" customHeight="1" x14ac:dyDescent="0.2">
      <c r="I18" t="s">
        <v>88</v>
      </c>
      <c r="J18" s="3">
        <v>0.93300000000000005</v>
      </c>
    </row>
    <row r="19" spans="2:13" ht="15" customHeight="1" thickBot="1" x14ac:dyDescent="0.25">
      <c r="B19" t="s">
        <v>118</v>
      </c>
      <c r="C19" s="4" t="e">
        <f>D56</f>
        <v>#VALUE!</v>
      </c>
      <c r="I19" t="s">
        <v>118</v>
      </c>
      <c r="J19" s="5">
        <f>K55</f>
        <v>0.93257138756313251</v>
      </c>
    </row>
    <row r="20" spans="2:13" ht="15" customHeight="1" thickBot="1" x14ac:dyDescent="0.25">
      <c r="B20" s="15" t="s">
        <v>85</v>
      </c>
      <c r="C20" s="16"/>
      <c r="D20" s="16"/>
      <c r="E20" s="16"/>
      <c r="F20" s="17"/>
      <c r="I20" s="15" t="s">
        <v>86</v>
      </c>
      <c r="J20" s="16"/>
      <c r="K20" s="16"/>
      <c r="L20" s="16"/>
      <c r="M20" s="17"/>
    </row>
    <row r="21" spans="2:13" ht="15" customHeight="1" x14ac:dyDescent="0.2">
      <c r="B21" s="6" t="s">
        <v>14</v>
      </c>
      <c r="C21" s="36" t="str">
        <f>IF(C10&lt;C9,C10/C9,"ERROR")</f>
        <v>ERROR</v>
      </c>
      <c r="D21" s="7" t="s">
        <v>15</v>
      </c>
      <c r="E21" s="7"/>
      <c r="F21" s="8"/>
      <c r="I21" s="9" t="s">
        <v>14</v>
      </c>
      <c r="J21" s="18">
        <f>IF(C10&gt;C9,(C10+Constants!E28-'NCV78514 calculator'!C9)/(C10),"ERROR")</f>
        <v>0.43000000000000005</v>
      </c>
      <c r="K21" t="s">
        <v>15</v>
      </c>
      <c r="M21" s="11"/>
    </row>
    <row r="22" spans="2:13" ht="15" customHeight="1" x14ac:dyDescent="0.2">
      <c r="B22" s="9" t="s">
        <v>16</v>
      </c>
      <c r="C22" s="20" t="e">
        <f>C21*(1/400000)</f>
        <v>#VALUE!</v>
      </c>
      <c r="D22" t="s">
        <v>18</v>
      </c>
      <c r="E22" s="18" t="e">
        <f>C22*1000000</f>
        <v>#VALUE!</v>
      </c>
      <c r="F22" s="11" t="s">
        <v>19</v>
      </c>
      <c r="I22" s="9" t="s">
        <v>16</v>
      </c>
      <c r="J22" s="20">
        <f>J21/Constants!E9</f>
        <v>1.0750000000000001E-6</v>
      </c>
      <c r="K22" t="s">
        <v>18</v>
      </c>
      <c r="L22" s="5">
        <f>J22*1000000</f>
        <v>1.0750000000000002</v>
      </c>
      <c r="M22" s="11" t="s">
        <v>19</v>
      </c>
    </row>
    <row r="23" spans="2:13" ht="15" customHeight="1" x14ac:dyDescent="0.2">
      <c r="B23" s="9" t="s">
        <v>17</v>
      </c>
      <c r="C23" s="20" t="e">
        <f>(1/400000)-C22</f>
        <v>#VALUE!</v>
      </c>
      <c r="D23" t="s">
        <v>18</v>
      </c>
      <c r="E23" s="18" t="e">
        <f>C23*1000000</f>
        <v>#VALUE!</v>
      </c>
      <c r="F23" s="11" t="s">
        <v>19</v>
      </c>
      <c r="I23" s="9" t="s">
        <v>17</v>
      </c>
      <c r="J23" s="20">
        <f>(1-'NCV78514 calculator'!J21)/(Constants!E9)</f>
        <v>1.4249999999999999E-6</v>
      </c>
      <c r="K23" t="s">
        <v>18</v>
      </c>
      <c r="L23" s="5">
        <f>J23*1000000</f>
        <v>1.4249999999999998</v>
      </c>
      <c r="M23" s="11" t="s">
        <v>19</v>
      </c>
    </row>
    <row r="24" spans="2:13" ht="15" customHeight="1" x14ac:dyDescent="0.2">
      <c r="B24" s="9" t="s">
        <v>20</v>
      </c>
      <c r="C24" s="21" t="e">
        <f>(E23*C10)/C15</f>
        <v>#VALUE!</v>
      </c>
      <c r="D24" t="s">
        <v>21</v>
      </c>
      <c r="F24" s="11"/>
      <c r="I24" s="9" t="s">
        <v>87</v>
      </c>
      <c r="J24" s="21">
        <f>(C11/1000*C10)/(J18*C9)</f>
        <v>0.89317613433369047</v>
      </c>
      <c r="K24" t="s">
        <v>21</v>
      </c>
      <c r="M24" s="11"/>
    </row>
    <row r="25" spans="2:13" ht="15" customHeight="1" x14ac:dyDescent="0.2">
      <c r="B25" s="9" t="s">
        <v>22</v>
      </c>
      <c r="C25" s="21" t="e">
        <f>(C13/1000)+C24/2</f>
        <v>#VALUE!</v>
      </c>
      <c r="D25" t="s">
        <v>21</v>
      </c>
      <c r="F25" s="11"/>
      <c r="I25" s="9" t="s">
        <v>20</v>
      </c>
      <c r="J25" s="21">
        <f>J21*('NCV78514 calculator'!C9-('NCV78514 calculator'!C11/1000*'NCV78514 calculator'!C10*((Constants!E12+Constants!E33+Constants!E37)/('NCV78514 calculator'!J18*'NCV78514 calculator'!C9))))/(Constants!E9*Constants!E32)</f>
        <v>1.276989773133262</v>
      </c>
      <c r="K25" t="s">
        <v>21</v>
      </c>
      <c r="M25" s="11"/>
    </row>
    <row r="26" spans="2:13" ht="15" customHeight="1" thickBot="1" x14ac:dyDescent="0.25">
      <c r="B26" s="12" t="s">
        <v>23</v>
      </c>
      <c r="C26" s="23" t="e">
        <f>(C13/1000)-C24/2</f>
        <v>#VALUE!</v>
      </c>
      <c r="D26" s="13" t="s">
        <v>21</v>
      </c>
      <c r="E26" s="13"/>
      <c r="F26" s="14"/>
      <c r="I26" s="9" t="s">
        <v>22</v>
      </c>
      <c r="J26" s="21">
        <f>J24+J25/2</f>
        <v>1.5316710209003215</v>
      </c>
      <c r="K26" t="s">
        <v>21</v>
      </c>
      <c r="M26" s="11"/>
    </row>
    <row r="27" spans="2:13" ht="15" customHeight="1" thickBot="1" x14ac:dyDescent="0.25">
      <c r="B27" s="9"/>
      <c r="F27" s="11"/>
      <c r="I27" s="9" t="s">
        <v>23</v>
      </c>
      <c r="J27" s="21">
        <f>J24-J25/2</f>
        <v>0.25468124776705947</v>
      </c>
      <c r="K27" t="s">
        <v>21</v>
      </c>
      <c r="M27" s="11"/>
    </row>
    <row r="28" spans="2:13" ht="15" customHeight="1" thickBot="1" x14ac:dyDescent="0.25">
      <c r="B28" s="6" t="s">
        <v>25</v>
      </c>
      <c r="C28" s="22" t="s">
        <v>29</v>
      </c>
      <c r="D28" s="7" t="s">
        <v>30</v>
      </c>
      <c r="E28" s="7" t="s">
        <v>31</v>
      </c>
      <c r="F28" s="8"/>
      <c r="I28" s="9"/>
      <c r="M28" s="11"/>
    </row>
    <row r="29" spans="2:13" ht="15" customHeight="1" x14ac:dyDescent="0.2">
      <c r="B29" s="9" t="s">
        <v>35</v>
      </c>
      <c r="C29" s="5" t="e">
        <f>(Constants!D12)*C22*400000*(12*(C13/1000)^2+C24^2)/12/1000</f>
        <v>#VALUE!</v>
      </c>
      <c r="D29" s="5" t="e">
        <f>(Constants!E12)*C22*400000*(12*(C13/1000)^2+C24^2)/12/1000</f>
        <v>#VALUE!</v>
      </c>
      <c r="E29" s="5" t="e">
        <f>(Constants!F12)*C22*400000*(12*(C13/1000)^2+C24^2)/12/1000</f>
        <v>#VALUE!</v>
      </c>
      <c r="F29" s="11" t="s">
        <v>52</v>
      </c>
      <c r="I29" s="6" t="s">
        <v>25</v>
      </c>
      <c r="J29" s="22" t="s">
        <v>29</v>
      </c>
      <c r="K29" s="7" t="s">
        <v>30</v>
      </c>
      <c r="L29" s="7" t="s">
        <v>31</v>
      </c>
      <c r="M29" s="8"/>
    </row>
    <row r="30" spans="2:13" ht="15" customHeight="1" thickBot="1" x14ac:dyDescent="0.25">
      <c r="B30" s="9" t="s">
        <v>36</v>
      </c>
      <c r="C30" s="5" t="e">
        <f>Constants!D13*400000*'NCV78514 calculator'!C9*'NCV78514 calculator'!C26/2</f>
        <v>#VALUE!</v>
      </c>
      <c r="D30" s="5" t="e">
        <f>Constants!E13*400000*'NCV78514 calculator'!C9*'NCV78514 calculator'!C26/2</f>
        <v>#VALUE!</v>
      </c>
      <c r="E30" s="5" t="e">
        <f>Constants!F13*400000*'NCV78514 calculator'!C9*'NCV78514 calculator'!C26/2</f>
        <v>#VALUE!</v>
      </c>
      <c r="F30" s="11" t="s">
        <v>52</v>
      </c>
      <c r="I30" s="12" t="s">
        <v>53</v>
      </c>
      <c r="J30" s="35">
        <f>Constants!D12*('NCV78514 calculator'!J26^2+'NCV78514 calculator'!J27^2+'NCV78514 calculator'!J26*'NCV78514 calculator'!J27)/3</f>
        <v>5.6019330820031186E-3</v>
      </c>
      <c r="K30" s="35">
        <f>Constants!E12*('NCV78514 calculator'!J26^2+'NCV78514 calculator'!J27^2+'NCV78514 calculator'!J26*'NCV78514 calculator'!J27)/3</f>
        <v>7.0024163525038971E-2</v>
      </c>
      <c r="L30" s="35">
        <f>Constants!F12*('NCV78514 calculator'!J26^2+'NCV78514 calculator'!J27^2+'NCV78514 calculator'!J26*'NCV78514 calculator'!J27)/3</f>
        <v>0.10503624528755845</v>
      </c>
      <c r="M30" s="14" t="s">
        <v>52</v>
      </c>
    </row>
    <row r="31" spans="2:13" ht="15" customHeight="1" thickBot="1" x14ac:dyDescent="0.25">
      <c r="B31" s="9" t="s">
        <v>37</v>
      </c>
      <c r="C31" s="5" t="e">
        <f>Constants!D14*400000*'NCV78514 calculator'!C9*'NCV78514 calculator'!C25/2</f>
        <v>#VALUE!</v>
      </c>
      <c r="D31" s="5" t="e">
        <f>Constants!E14*400000*'NCV78514 calculator'!C9*'NCV78514 calculator'!C25/2</f>
        <v>#VALUE!</v>
      </c>
      <c r="E31" s="5" t="e">
        <f>Constants!F14*400000*'NCV78514 calculator'!C9*'NCV78514 calculator'!C25/2</f>
        <v>#VALUE!</v>
      </c>
      <c r="F31" s="11" t="s">
        <v>52</v>
      </c>
      <c r="I31" s="9"/>
      <c r="M31" s="11"/>
    </row>
    <row r="32" spans="2:13" ht="15" customHeight="1" x14ac:dyDescent="0.2">
      <c r="B32" s="9" t="s">
        <v>38</v>
      </c>
      <c r="C32" s="5">
        <f>(Constants!D16*Constants!D15^2*Constants!D9)+(Constants!D17*Constants!D9*'NCV78514 calculator'!C9^2)/2</f>
        <v>2.3137451999999996E-2</v>
      </c>
      <c r="D32" s="5">
        <f>(Constants!E16*Constants!E15^2*Constants!E9)+(Constants!E17*Constants!E9*'NCV78514 calculator'!C9^2)/2</f>
        <v>2.3137451999999996E-2</v>
      </c>
      <c r="E32" s="5">
        <f>(Constants!F16*Constants!F15^2*Constants!F9)+(Constants!F17*Constants!F9*'NCV78514 calculator'!C9^2)/2</f>
        <v>2.3137451999999996E-2</v>
      </c>
      <c r="F32" s="11" t="s">
        <v>52</v>
      </c>
      <c r="I32" s="6" t="s">
        <v>11</v>
      </c>
      <c r="J32" s="22" t="s">
        <v>29</v>
      </c>
      <c r="K32" s="7" t="s">
        <v>30</v>
      </c>
      <c r="L32" s="7" t="s">
        <v>31</v>
      </c>
      <c r="M32" s="8"/>
    </row>
    <row r="33" spans="2:13" ht="15" customHeight="1" thickBot="1" x14ac:dyDescent="0.25">
      <c r="B33" s="12" t="s">
        <v>53</v>
      </c>
      <c r="C33" s="35" t="e">
        <f>SUM(C29:C32)</f>
        <v>#VALUE!</v>
      </c>
      <c r="D33" s="35" t="e">
        <f t="shared" ref="D33" si="0">SUM(D29:D32)</f>
        <v>#VALUE!</v>
      </c>
      <c r="E33" s="35" t="e">
        <f>SUM(E29:E32)</f>
        <v>#VALUE!</v>
      </c>
      <c r="F33" s="14" t="s">
        <v>52</v>
      </c>
      <c r="I33" s="9" t="s">
        <v>75</v>
      </c>
      <c r="J33" s="5">
        <f>Constants!D33*('NCV78514 calculator'!J26^2+'NCV78514 calculator'!J27^2+'NCV78514 calculator'!J26*'NCV78514 calculator'!J27)/3</f>
        <v>2.8476493166849182E-2</v>
      </c>
      <c r="K33" s="5">
        <f>Constants!E33*('NCV78514 calculator'!J26^2+'NCV78514 calculator'!J27^2+'NCV78514 calculator'!J26*'NCV78514 calculator'!J27)/3</f>
        <v>2.8476493166849182E-2</v>
      </c>
      <c r="L33" s="5">
        <f>Constants!F33*('NCV78514 calculator'!J26^2+'NCV78514 calculator'!J27^2+'NCV78514 calculator'!J26*'NCV78514 calculator'!J27)/3</f>
        <v>2.8476493166849182E-2</v>
      </c>
      <c r="M33" s="11" t="s">
        <v>52</v>
      </c>
    </row>
    <row r="34" spans="2:13" ht="15" customHeight="1" thickBot="1" x14ac:dyDescent="0.25">
      <c r="B34" s="9"/>
      <c r="F34" s="11"/>
      <c r="I34" s="9" t="s">
        <v>74</v>
      </c>
      <c r="J34" s="5">
        <f>Constants!D34*(J25^2)/12</f>
        <v>4.8105734980264721E-2</v>
      </c>
      <c r="K34" s="5">
        <f>Constants!E34*(J25^2)/12</f>
        <v>4.8105734980264721E-2</v>
      </c>
      <c r="L34" s="5">
        <f>Constants!F34*(J25^2)/12</f>
        <v>4.8105734980264721E-2</v>
      </c>
      <c r="M34" s="11" t="s">
        <v>52</v>
      </c>
    </row>
    <row r="35" spans="2:13" ht="15" customHeight="1" thickBot="1" x14ac:dyDescent="0.25">
      <c r="B35" s="6" t="s">
        <v>26</v>
      </c>
      <c r="C35" s="22" t="s">
        <v>29</v>
      </c>
      <c r="D35" s="7" t="s">
        <v>30</v>
      </c>
      <c r="E35" s="7" t="s">
        <v>31</v>
      </c>
      <c r="F35" s="8"/>
      <c r="I35" s="12" t="s">
        <v>76</v>
      </c>
      <c r="J35" s="35">
        <f>SUM(J33:J34)</f>
        <v>7.6582228147113907E-2</v>
      </c>
      <c r="K35" s="35">
        <f>SUM(K33:K34)</f>
        <v>7.6582228147113907E-2</v>
      </c>
      <c r="L35" s="35">
        <f>SUM(L33:L34)</f>
        <v>7.6582228147113907E-2</v>
      </c>
      <c r="M35" s="14"/>
    </row>
    <row r="36" spans="2:13" ht="15" customHeight="1" thickBot="1" x14ac:dyDescent="0.25">
      <c r="B36" s="9" t="s">
        <v>35</v>
      </c>
      <c r="C36" s="5" t="e">
        <f>C23*Constants!D9*Constants!D20*('NCV78514 calculator'!C25^2+'NCV78514 calculator'!C26^2+C25*C26)/3</f>
        <v>#VALUE!</v>
      </c>
      <c r="D36" s="5" t="e">
        <f>C23*Constants!E9*Constants!E20*('NCV78514 calculator'!C25^2+'NCV78514 calculator'!C26^2+C25*C26)/3</f>
        <v>#VALUE!</v>
      </c>
      <c r="E36" s="5" t="e">
        <f>C23*Constants!F9*Constants!F20*('NCV78514 calculator'!C25^2+'NCV78514 calculator'!C26^2+C25*C26)/3</f>
        <v>#VALUE!</v>
      </c>
      <c r="F36" s="11" t="s">
        <v>52</v>
      </c>
      <c r="I36" s="9"/>
      <c r="M36" s="11"/>
    </row>
    <row r="37" spans="2:13" ht="15" customHeight="1" x14ac:dyDescent="0.2">
      <c r="B37" s="9" t="s">
        <v>36</v>
      </c>
      <c r="C37" s="5" t="e">
        <f>Constants!D21*Constants!D9*'NCV78514 calculator'!C9*'NCV78514 calculator'!C26/2</f>
        <v>#VALUE!</v>
      </c>
      <c r="D37" s="5" t="e">
        <f>Constants!E21*Constants!E9*'NCV78514 calculator'!C9*'NCV78514 calculator'!C26/2</f>
        <v>#VALUE!</v>
      </c>
      <c r="E37" s="5" t="e">
        <f>Constants!F21*Constants!F9*'NCV78514 calculator'!C9*'NCV78514 calculator'!C26/2</f>
        <v>#VALUE!</v>
      </c>
      <c r="F37" s="11" t="s">
        <v>52</v>
      </c>
      <c r="I37" s="6" t="s">
        <v>96</v>
      </c>
      <c r="J37" s="22" t="s">
        <v>29</v>
      </c>
      <c r="K37" s="7" t="s">
        <v>30</v>
      </c>
      <c r="L37" s="7" t="s">
        <v>31</v>
      </c>
      <c r="M37" s="8"/>
    </row>
    <row r="38" spans="2:13" ht="15" customHeight="1" x14ac:dyDescent="0.2">
      <c r="B38" s="9" t="s">
        <v>37</v>
      </c>
      <c r="C38" s="5" t="e">
        <f>Constants!D22*Constants!D9*'NCV78514 calculator'!C9*'NCV78514 calculator'!C25/2</f>
        <v>#VALUE!</v>
      </c>
      <c r="D38" s="5" t="e">
        <f>Constants!E22*Constants!E9*'NCV78514 calculator'!C9*'NCV78514 calculator'!C25/2</f>
        <v>#VALUE!</v>
      </c>
      <c r="E38" s="5" t="e">
        <f>Constants!F22*Constants!F9*'NCV78514 calculator'!C9*'NCV78514 calculator'!C25/2</f>
        <v>#VALUE!</v>
      </c>
      <c r="F38" s="11" t="s">
        <v>52</v>
      </c>
      <c r="I38" s="9" t="s">
        <v>36</v>
      </c>
      <c r="J38" s="5">
        <f>K38</f>
        <v>2.2065583306538034E-2</v>
      </c>
      <c r="K38" s="5">
        <f>Constants!E9*'NCV78514 calculator'!C10*'NCV78514 calculator'!J27/2*Constants!E38</f>
        <v>2.2065583306538034E-2</v>
      </c>
      <c r="L38" s="5">
        <f>K38</f>
        <v>2.2065583306538034E-2</v>
      </c>
      <c r="M38" s="11" t="s">
        <v>52</v>
      </c>
    </row>
    <row r="39" spans="2:13" ht="15" customHeight="1" x14ac:dyDescent="0.2">
      <c r="B39" s="9" t="s">
        <v>38</v>
      </c>
      <c r="C39" s="5">
        <f>(Constants!D24*Constants!D23^2*Constants!D9)+(Constants!D25*'NCV78514 calculator'!C9^2*Constants!E9)/2</f>
        <v>8.1540000000000015E-3</v>
      </c>
      <c r="D39" s="5">
        <f>(Constants!E24*Constants!E23^2*Constants!E9)+(Constants!E25*'NCV78514 calculator'!C9^2*Constants!E9)/2</f>
        <v>8.1540000000000015E-3</v>
      </c>
      <c r="E39" s="5">
        <f>(Constants!F24*Constants!F23^2*Constants!F9)+(Constants!F25*'NCV78514 calculator'!C9^2*Constants!E9)/2</f>
        <v>8.1540000000000015E-3</v>
      </c>
      <c r="F39" s="11" t="s">
        <v>52</v>
      </c>
      <c r="I39" s="9" t="s">
        <v>37</v>
      </c>
      <c r="J39" s="5">
        <f>K39</f>
        <v>8.8469318167202562E-2</v>
      </c>
      <c r="K39" s="5">
        <f>Constants!E9*Constants!E39*'NCV78514 calculator'!C10*'NCV78514 calculator'!J26/2</f>
        <v>8.8469318167202562E-2</v>
      </c>
      <c r="L39" s="5">
        <f>K39</f>
        <v>8.8469318167202562E-2</v>
      </c>
      <c r="M39" s="11" t="s">
        <v>52</v>
      </c>
    </row>
    <row r="40" spans="2:13" ht="15" customHeight="1" thickBot="1" x14ac:dyDescent="0.25">
      <c r="B40" s="12" t="s">
        <v>53</v>
      </c>
      <c r="C40" s="35" t="e">
        <f>SUM(C36:C39)</f>
        <v>#VALUE!</v>
      </c>
      <c r="D40" s="35" t="e">
        <f t="shared" ref="D40" si="1">SUM(D36:D39)</f>
        <v>#VALUE!</v>
      </c>
      <c r="E40" s="35" t="e">
        <f t="shared" ref="E40" si="2">SUM(E36:E39)</f>
        <v>#VALUE!</v>
      </c>
      <c r="F40" s="14" t="s">
        <v>52</v>
      </c>
      <c r="I40" s="9" t="s">
        <v>97</v>
      </c>
      <c r="J40" s="5">
        <f>J22*Constants!D9*Constants!D37*('NCV78514 calculator'!J26^2+'NCV78514 calculator'!J27^2+'NCV78514 calculator'!J26*'NCV78514 calculator'!J27)/3</f>
        <v>9.6353249010453629E-4</v>
      </c>
      <c r="K40" s="5">
        <f>J22*Constants!E9*Constants!E37*('NCV78514 calculator'!J26^2+'NCV78514 calculator'!J27^2+'NCV78514 calculator'!J26*'NCV78514 calculator'!J27)/3</f>
        <v>1.2044156126306707E-2</v>
      </c>
      <c r="L40" s="5">
        <f>J22*Constants!F9*Constants!F37*('NCV78514 calculator'!J26^2+'NCV78514 calculator'!J27^2+'NCV78514 calculator'!J26*'NCV78514 calculator'!J27)/3</f>
        <v>1.8066234189460056E-2</v>
      </c>
      <c r="M40" s="11" t="s">
        <v>52</v>
      </c>
    </row>
    <row r="41" spans="2:13" ht="15" customHeight="1" thickBot="1" x14ac:dyDescent="0.25">
      <c r="B41" s="9"/>
      <c r="F41" s="11"/>
      <c r="I41" s="9" t="s">
        <v>38</v>
      </c>
      <c r="J41" s="5">
        <f>K41</f>
        <v>2.9588000000000003E-2</v>
      </c>
      <c r="K41" s="5">
        <f>Constants!E9*((Constants!E40*Constants!E15)+(Constants!E41*'NCV78514 calculator'!C10^2))</f>
        <v>2.9588000000000003E-2</v>
      </c>
      <c r="L41" s="5">
        <f>K41</f>
        <v>2.9588000000000003E-2</v>
      </c>
      <c r="M41" s="11" t="s">
        <v>52</v>
      </c>
    </row>
    <row r="42" spans="2:13" ht="15" customHeight="1" thickBot="1" x14ac:dyDescent="0.25">
      <c r="B42" s="6" t="s">
        <v>11</v>
      </c>
      <c r="C42" s="22" t="s">
        <v>29</v>
      </c>
      <c r="D42" s="7" t="s">
        <v>30</v>
      </c>
      <c r="E42" s="7" t="s">
        <v>31</v>
      </c>
      <c r="F42" s="8"/>
      <c r="I42" s="12" t="s">
        <v>53</v>
      </c>
      <c r="J42" s="35">
        <f>SUM(J38:J41)</f>
        <v>0.14108643396384513</v>
      </c>
      <c r="K42" s="35">
        <f t="shared" ref="K42" si="3">SUM(K38:K41)</f>
        <v>0.15216705760004728</v>
      </c>
      <c r="L42" s="35">
        <f t="shared" ref="L42" si="4">SUM(L38:L41)</f>
        <v>0.15818913566320064</v>
      </c>
      <c r="M42" s="14" t="s">
        <v>52</v>
      </c>
    </row>
    <row r="43" spans="2:13" ht="15" customHeight="1" thickBot="1" x14ac:dyDescent="0.25">
      <c r="B43" s="9" t="s">
        <v>75</v>
      </c>
      <c r="C43" s="5" t="e">
        <f>Constants!D33*('NCV78514 calculator'!C25^2+'NCV78514 calculator'!C26^2+'NCV78514 calculator'!C25*'NCV78514 calculator'!C26)/3</f>
        <v>#VALUE!</v>
      </c>
      <c r="D43" s="5" t="e">
        <f>Constants!E33*('NCV78514 calculator'!C25^2+'NCV78514 calculator'!C26^2+'NCV78514 calculator'!C25*'NCV78514 calculator'!C26)/3</f>
        <v>#VALUE!</v>
      </c>
      <c r="E43" s="5" t="e">
        <f>Constants!F33*('NCV78514 calculator'!C25^2+'NCV78514 calculator'!C26^2+'NCV78514 calculator'!C25*'NCV78514 calculator'!C26)/3</f>
        <v>#VALUE!</v>
      </c>
      <c r="F43" s="11" t="s">
        <v>52</v>
      </c>
      <c r="I43" s="9"/>
      <c r="M43" s="11"/>
    </row>
    <row r="44" spans="2:13" ht="15" customHeight="1" x14ac:dyDescent="0.2">
      <c r="B44" s="9" t="s">
        <v>74</v>
      </c>
      <c r="C44" s="5" t="e">
        <f>C24^2/12*Constants!D34</f>
        <v>#VALUE!</v>
      </c>
      <c r="D44" s="5" t="e">
        <f>C24^2/12*Constants!E34</f>
        <v>#VALUE!</v>
      </c>
      <c r="E44" s="5" t="e">
        <f>C24^2/12*Constants!F34</f>
        <v>#VALUE!</v>
      </c>
      <c r="F44" s="11" t="s">
        <v>52</v>
      </c>
      <c r="I44" s="6" t="s">
        <v>27</v>
      </c>
      <c r="J44" s="22" t="s">
        <v>29</v>
      </c>
      <c r="K44" s="7" t="s">
        <v>30</v>
      </c>
      <c r="L44" s="7" t="s">
        <v>31</v>
      </c>
      <c r="M44" s="8"/>
    </row>
    <row r="45" spans="2:13" ht="15" customHeight="1" thickBot="1" x14ac:dyDescent="0.25">
      <c r="B45" s="12" t="s">
        <v>76</v>
      </c>
      <c r="C45" s="35" t="e">
        <f>SUM(C43:C44)</f>
        <v>#VALUE!</v>
      </c>
      <c r="D45" s="35" t="e">
        <f>SUM(D43:D44)</f>
        <v>#VALUE!</v>
      </c>
      <c r="E45" s="35" t="e">
        <f>SUM(E43:E44)</f>
        <v>#VALUE!</v>
      </c>
      <c r="F45" s="14"/>
      <c r="I45" s="9" t="s">
        <v>103</v>
      </c>
      <c r="J45" s="5">
        <f>K45</f>
        <v>6.88E-2</v>
      </c>
      <c r="K45" s="5">
        <f>Constants!E29*'NCV78514 calculator'!C10^2*Constants!E9</f>
        <v>6.88E-2</v>
      </c>
      <c r="L45" s="5">
        <f>K45</f>
        <v>6.88E-2</v>
      </c>
      <c r="M45" s="11" t="s">
        <v>52</v>
      </c>
    </row>
    <row r="46" spans="2:13" ht="15" customHeight="1" thickBot="1" x14ac:dyDescent="0.25">
      <c r="B46" s="9"/>
      <c r="F46" s="11"/>
      <c r="I46" s="9" t="s">
        <v>97</v>
      </c>
      <c r="J46" s="5">
        <f>J23*Constants!D9*Constants!D28*'NCV78514 calculator'!J24</f>
        <v>0.31055734190782414</v>
      </c>
      <c r="K46" s="5">
        <f>J23*Constants!E9*Constants!E28*'NCV78514 calculator'!J24</f>
        <v>0.30546623794212213</v>
      </c>
      <c r="L46" s="5">
        <f>J23*Constants!F9*Constants!F28*'NCV78514 calculator'!J24</f>
        <v>0.285101822079314</v>
      </c>
      <c r="M46" s="11" t="s">
        <v>52</v>
      </c>
    </row>
    <row r="47" spans="2:13" ht="15" customHeight="1" thickBot="1" x14ac:dyDescent="0.25">
      <c r="B47" s="6" t="s">
        <v>62</v>
      </c>
      <c r="C47" s="22" t="s">
        <v>29</v>
      </c>
      <c r="D47" s="7" t="s">
        <v>30</v>
      </c>
      <c r="E47" s="7" t="s">
        <v>31</v>
      </c>
      <c r="F47" s="8"/>
      <c r="I47" s="12" t="s">
        <v>53</v>
      </c>
      <c r="J47" s="35">
        <f>SUM(J43:J46)</f>
        <v>0.37935734190782411</v>
      </c>
      <c r="K47" s="35">
        <f t="shared" ref="K47" si="5">SUM(K43:K46)</f>
        <v>0.3742662379421221</v>
      </c>
      <c r="L47" s="35">
        <f t="shared" ref="L47" si="6">SUM(L43:L46)</f>
        <v>0.35390182207931398</v>
      </c>
      <c r="M47" s="14" t="s">
        <v>52</v>
      </c>
    </row>
    <row r="48" spans="2:13" ht="15" customHeight="1" thickBot="1" x14ac:dyDescent="0.25">
      <c r="B48" s="12" t="s">
        <v>53</v>
      </c>
      <c r="C48" s="35">
        <f>C13/1000*Constants!D28</f>
        <v>0.30499999999999999</v>
      </c>
      <c r="D48" s="35">
        <f>C13/1000*Constants!E28</f>
        <v>0.3</v>
      </c>
      <c r="E48" s="35">
        <f>C13/1000*Constants!F28</f>
        <v>0.28000000000000003</v>
      </c>
      <c r="F48" s="14" t="s">
        <v>52</v>
      </c>
      <c r="I48" s="9"/>
      <c r="M48" s="11"/>
    </row>
    <row r="49" spans="2:13" ht="15" customHeight="1" thickBot="1" x14ac:dyDescent="0.25">
      <c r="B49" s="9"/>
      <c r="F49" s="11"/>
      <c r="I49" s="6" t="s">
        <v>28</v>
      </c>
      <c r="J49" s="22" t="s">
        <v>29</v>
      </c>
      <c r="K49" s="7" t="s">
        <v>30</v>
      </c>
      <c r="L49" s="7" t="s">
        <v>31</v>
      </c>
      <c r="M49" s="8"/>
    </row>
    <row r="50" spans="2:13" ht="15" customHeight="1" thickBot="1" x14ac:dyDescent="0.25">
      <c r="B50" s="6" t="s">
        <v>28</v>
      </c>
      <c r="C50" s="22" t="s">
        <v>29</v>
      </c>
      <c r="D50" s="7" t="s">
        <v>30</v>
      </c>
      <c r="E50" s="7" t="s">
        <v>31</v>
      </c>
      <c r="F50" s="8"/>
      <c r="I50" s="12" t="s">
        <v>53</v>
      </c>
      <c r="J50" s="35">
        <f>C8/1000*C11/1000</f>
        <v>0.05</v>
      </c>
      <c r="K50" s="35">
        <f>C8/1000*C11/1000</f>
        <v>0.05</v>
      </c>
      <c r="L50" s="35">
        <f>C8/1000*C11/1000</f>
        <v>0.05</v>
      </c>
      <c r="M50" s="14" t="s">
        <v>52</v>
      </c>
    </row>
    <row r="51" spans="2:13" ht="15" customHeight="1" thickBot="1" x14ac:dyDescent="0.25">
      <c r="B51" s="12" t="s">
        <v>53</v>
      </c>
      <c r="C51" s="35">
        <f>C13/1000*C8/1000</f>
        <v>0.05</v>
      </c>
      <c r="D51" s="35">
        <f>C13/1000*C8/1000</f>
        <v>0.05</v>
      </c>
      <c r="E51" s="35">
        <f>C13/1000*C8/1000</f>
        <v>0.05</v>
      </c>
      <c r="F51" s="14" t="s">
        <v>52</v>
      </c>
      <c r="I51" s="9"/>
      <c r="M51" s="11"/>
    </row>
    <row r="52" spans="2:13" ht="15" customHeight="1" thickBot="1" x14ac:dyDescent="0.25">
      <c r="B52" s="9"/>
      <c r="F52" s="11"/>
      <c r="I52" s="6"/>
      <c r="J52" s="22" t="s">
        <v>29</v>
      </c>
      <c r="K52" s="7" t="s">
        <v>30</v>
      </c>
      <c r="L52" s="7" t="s">
        <v>31</v>
      </c>
      <c r="M52" s="8"/>
    </row>
    <row r="53" spans="2:13" ht="15" customHeight="1" x14ac:dyDescent="0.2">
      <c r="B53" s="6"/>
      <c r="C53" s="22" t="s">
        <v>29</v>
      </c>
      <c r="D53" s="7" t="s">
        <v>30</v>
      </c>
      <c r="E53" s="7" t="s">
        <v>31</v>
      </c>
      <c r="F53" s="8"/>
      <c r="I53" s="9" t="s">
        <v>78</v>
      </c>
      <c r="J53" s="5">
        <f>J50+J47+J42+J35+J30</f>
        <v>0.65262793710078615</v>
      </c>
      <c r="K53" s="5">
        <f>K50+K47+K42+K35+K30</f>
        <v>0.72303968721432221</v>
      </c>
      <c r="L53" s="5">
        <f>L50+L47+L42+L35+L30</f>
        <v>0.74370943117718702</v>
      </c>
      <c r="M53" s="11" t="s">
        <v>52</v>
      </c>
    </row>
    <row r="54" spans="2:13" ht="15" customHeight="1" x14ac:dyDescent="0.2">
      <c r="B54" s="9" t="s">
        <v>78</v>
      </c>
      <c r="C54" s="5" t="e">
        <f>C51+C48+C45+C40+C33</f>
        <v>#VALUE!</v>
      </c>
      <c r="D54" s="5" t="e">
        <f>D51+D48+D45+D40+D33</f>
        <v>#VALUE!</v>
      </c>
      <c r="E54" s="5" t="e">
        <f>E51+E48+E45+E40+E33</f>
        <v>#VALUE!</v>
      </c>
      <c r="F54" s="11" t="s">
        <v>52</v>
      </c>
      <c r="I54" s="9" t="s">
        <v>79</v>
      </c>
      <c r="J54" s="5">
        <f>C10*C11/1000</f>
        <v>10</v>
      </c>
      <c r="K54" s="5">
        <f>C10*C11/1000</f>
        <v>10</v>
      </c>
      <c r="L54" s="5">
        <f>C10*C11/1000</f>
        <v>10</v>
      </c>
      <c r="M54" s="11" t="s">
        <v>52</v>
      </c>
    </row>
    <row r="55" spans="2:13" ht="15" customHeight="1" thickBot="1" x14ac:dyDescent="0.25">
      <c r="B55" s="9" t="s">
        <v>79</v>
      </c>
      <c r="C55" s="5">
        <f>C10*C13/1000</f>
        <v>10</v>
      </c>
      <c r="D55" s="5">
        <f>C10*C13/1000</f>
        <v>10</v>
      </c>
      <c r="E55" s="5">
        <f>C10*C13/1000</f>
        <v>10</v>
      </c>
      <c r="F55" s="11" t="s">
        <v>52</v>
      </c>
      <c r="I55" s="12" t="s">
        <v>80</v>
      </c>
      <c r="J55" s="35">
        <f>J54/(J54+J53)</f>
        <v>0.93873549879388685</v>
      </c>
      <c r="K55" s="35">
        <f>K54/(K54+K53)</f>
        <v>0.93257138756313251</v>
      </c>
      <c r="L55" s="35">
        <f>L54/(L54+L53)</f>
        <v>0.93077722029422949</v>
      </c>
      <c r="M55" s="14" t="s">
        <v>15</v>
      </c>
    </row>
    <row r="56" spans="2:13" ht="15" customHeight="1" thickBot="1" x14ac:dyDescent="0.25">
      <c r="B56" s="12" t="s">
        <v>80</v>
      </c>
      <c r="C56" s="35" t="e">
        <f>C55/(C55+C54)</f>
        <v>#VALUE!</v>
      </c>
      <c r="D56" s="35" t="e">
        <f>D55/(D55+D54)</f>
        <v>#VALUE!</v>
      </c>
      <c r="E56" s="35" t="e">
        <f>E55/(E55+E54)</f>
        <v>#VALUE!</v>
      </c>
      <c r="F56" s="14" t="s">
        <v>15</v>
      </c>
    </row>
  </sheetData>
  <mergeCells count="1">
    <mergeCell ref="I17:M17"/>
  </mergeCells>
  <conditionalFormatting sqref="C12">
    <cfRule type="expression" dxfId="3" priority="3">
      <formula>NOT($C$12)</formula>
    </cfRule>
    <cfRule type="expression" dxfId="2" priority="4">
      <formula>$C$12</formula>
    </cfRule>
  </conditionalFormatting>
  <conditionalFormatting sqref="C14">
    <cfRule type="expression" dxfId="1" priority="1">
      <formula>$C$14&gt;15000</formula>
    </cfRule>
    <cfRule type="expression" dxfId="0" priority="2">
      <formula>$C$14&gt;400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Constants</vt:lpstr>
      <vt:lpstr>NCV78514 calculator</vt:lpstr>
    </vt:vector>
  </TitlesOfParts>
  <Company>ON Semiconductor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Rejthar</dc:creator>
  <cp:lastModifiedBy>Martin Rejthar</cp:lastModifiedBy>
  <dcterms:created xsi:type="dcterms:W3CDTF">2026-01-06T09:50:23Z</dcterms:created>
  <dcterms:modified xsi:type="dcterms:W3CDTF">2026-01-16T10:01:49Z</dcterms:modified>
</cp:coreProperties>
</file>